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9020" windowHeight="7305"/>
  </bookViews>
  <sheets>
    <sheet name="Sheet1" sheetId="2" r:id="rId1"/>
  </sheets>
  <externalReferences>
    <externalReference r:id="rId2"/>
  </externalReferences>
  <definedNames>
    <definedName name="_xlnm.Print_Area" localSheetId="0">Sheet1!$A$1:$I$83</definedName>
  </definedNames>
  <calcPr calcId="145621"/>
</workbook>
</file>

<file path=xl/calcChain.xml><?xml version="1.0" encoding="utf-8"?>
<calcChain xmlns="http://schemas.openxmlformats.org/spreadsheetml/2006/main">
  <c r="E77" i="2" l="1"/>
  <c r="D77" i="2"/>
  <c r="C77" i="2"/>
  <c r="C81" i="2" s="1"/>
  <c r="E76" i="2"/>
  <c r="D76" i="2"/>
  <c r="H68" i="2"/>
  <c r="E67" i="2"/>
  <c r="D67" i="2"/>
  <c r="C67" i="2"/>
  <c r="E66" i="2"/>
  <c r="D66" i="2"/>
  <c r="C66" i="2"/>
  <c r="C61" i="2"/>
  <c r="H60" i="2"/>
  <c r="G60" i="2"/>
  <c r="G68" i="2" s="1"/>
  <c r="F60" i="2"/>
  <c r="F68" i="2" s="1"/>
  <c r="E60" i="2"/>
  <c r="D60" i="2"/>
  <c r="C59" i="2"/>
  <c r="E58" i="2"/>
  <c r="E68" i="2" s="1"/>
  <c r="D58" i="2"/>
  <c r="D68" i="2" s="1"/>
  <c r="C57" i="2"/>
  <c r="E56" i="2"/>
  <c r="E80" i="2" s="1"/>
  <c r="D56" i="2"/>
  <c r="D80" i="2" s="1"/>
  <c r="C56" i="2"/>
  <c r="C80" i="2" s="1"/>
  <c r="C55" i="2"/>
  <c r="E54" i="2"/>
  <c r="D54" i="2"/>
  <c r="C54" i="2"/>
  <c r="C68" i="2" s="1"/>
  <c r="H49" i="2"/>
  <c r="G49" i="2"/>
  <c r="F49" i="2"/>
  <c r="E49" i="2"/>
  <c r="D49" i="2"/>
  <c r="C49" i="2"/>
  <c r="I49" i="2" s="1"/>
  <c r="H41" i="2"/>
  <c r="G41" i="2"/>
  <c r="F41" i="2"/>
  <c r="E41" i="2"/>
  <c r="E37" i="2"/>
  <c r="D37" i="2"/>
  <c r="E36" i="2"/>
  <c r="D36" i="2"/>
  <c r="E35" i="2"/>
  <c r="D35" i="2"/>
  <c r="C35" i="2"/>
  <c r="E34" i="2"/>
  <c r="D34" i="2"/>
  <c r="D41" i="2" s="1"/>
  <c r="C33" i="2"/>
  <c r="C41" i="2" s="1"/>
  <c r="H29" i="2"/>
  <c r="G29" i="2"/>
  <c r="F29" i="2"/>
  <c r="E28" i="2"/>
  <c r="D28" i="2"/>
  <c r="E27" i="2"/>
  <c r="D27" i="2"/>
  <c r="E26" i="2"/>
  <c r="D26" i="2"/>
  <c r="E25" i="2"/>
  <c r="D25" i="2"/>
  <c r="D24" i="2"/>
  <c r="E23" i="2"/>
  <c r="D23" i="2"/>
  <c r="E22" i="2"/>
  <c r="D22" i="2"/>
  <c r="E21" i="2"/>
  <c r="D21" i="2"/>
  <c r="C21" i="2"/>
  <c r="E20" i="2"/>
  <c r="D20" i="2"/>
  <c r="C19" i="2"/>
  <c r="E18" i="2"/>
  <c r="E17" i="2"/>
  <c r="D17" i="2"/>
  <c r="D16" i="2"/>
  <c r="E15" i="2"/>
  <c r="D15" i="2"/>
  <c r="D14" i="2"/>
  <c r="E13" i="2"/>
  <c r="D13" i="2"/>
  <c r="C13" i="2"/>
  <c r="E12" i="2"/>
  <c r="E29" i="2" s="1"/>
  <c r="D12" i="2"/>
  <c r="D29" i="2" s="1"/>
  <c r="C11" i="2"/>
  <c r="C29" i="2" s="1"/>
  <c r="I29" i="2" s="1"/>
  <c r="H7" i="2"/>
  <c r="H71" i="2" s="1"/>
  <c r="G7" i="2"/>
  <c r="F7" i="2"/>
  <c r="C5" i="2"/>
  <c r="C7" i="2" s="1"/>
  <c r="E4" i="2"/>
  <c r="E79" i="2" s="1"/>
  <c r="D4" i="2"/>
  <c r="D7" i="2" s="1"/>
  <c r="F71" i="2" l="1"/>
  <c r="D71" i="2"/>
  <c r="C71" i="2"/>
  <c r="I7" i="2"/>
  <c r="G71" i="2"/>
  <c r="I41" i="2"/>
  <c r="I68" i="2"/>
  <c r="E81" i="2"/>
  <c r="D79" i="2"/>
  <c r="D81" i="2" s="1"/>
  <c r="I81" i="2" s="1"/>
  <c r="E7" i="2"/>
  <c r="E71" i="2" s="1"/>
  <c r="I71" i="2" l="1"/>
  <c r="I83" i="2" s="1"/>
</calcChain>
</file>

<file path=xl/sharedStrings.xml><?xml version="1.0" encoding="utf-8"?>
<sst xmlns="http://schemas.openxmlformats.org/spreadsheetml/2006/main" count="157" uniqueCount="108">
  <si>
    <t>1. Operational Electronic</t>
  </si>
  <si>
    <t>2015-16</t>
  </si>
  <si>
    <t>2016-17</t>
  </si>
  <si>
    <t>2017-18</t>
  </si>
  <si>
    <t>2018-19</t>
  </si>
  <si>
    <t>2019-20</t>
  </si>
  <si>
    <t>2020-21</t>
  </si>
  <si>
    <t>Overall</t>
  </si>
  <si>
    <t>Costs Used:</t>
  </si>
  <si>
    <t>2016/17 Draft Costs</t>
  </si>
  <si>
    <t>Senior Applications Support Engineer (2yr FTC) - PO6-9</t>
  </si>
  <si>
    <t>Computers</t>
  </si>
  <si>
    <t xml:space="preserve">Desktop PC </t>
  </si>
  <si>
    <t>RRD Assistant - Sc3</t>
  </si>
  <si>
    <t>Existing Records Manager &amp; RRD staff (permanent staff in place)</t>
  </si>
  <si>
    <t>Dept Budget</t>
  </si>
  <si>
    <t>Major Crime Support - Sc 3</t>
  </si>
  <si>
    <t>TOTAL</t>
  </si>
  <si>
    <t>Snr Applications Support Engineer PO6-9</t>
  </si>
  <si>
    <t>RRD Manager SO2</t>
  </si>
  <si>
    <t>Records Manager PO 3-6</t>
  </si>
  <si>
    <t>2. Operational Paper Records</t>
  </si>
  <si>
    <t>Project Manager PO 9-12</t>
  </si>
  <si>
    <t>Team 1 - Op (non HQ)</t>
  </si>
  <si>
    <t>10x PCs (less 4 already indentified)</t>
  </si>
  <si>
    <t>Business Analyst PO 6-9</t>
  </si>
  <si>
    <t>(Major crime/PVP etc)</t>
  </si>
  <si>
    <t>9x RRD Assistants - 18 months FTC - Sc3</t>
  </si>
  <si>
    <t>RRD Team Leader (new role to be graded)</t>
  </si>
  <si>
    <t>Est at Scale 6</t>
  </si>
  <si>
    <t>(Base at York)</t>
  </si>
  <si>
    <t>1x RRD Team Leader (role to be developed) - Sc6 TBC (20 months)</t>
  </si>
  <si>
    <t>Application Support Engineer - SO1-2</t>
  </si>
  <si>
    <t>1x Backfill Support Officer Major Crime re Exhibits - 6 months</t>
  </si>
  <si>
    <t>MFD Costs (annual)</t>
  </si>
  <si>
    <t>Shred-It costs (York) - Paper only</t>
  </si>
  <si>
    <t>Shredit Costs (est £1500 mth 6 staff)</t>
  </si>
  <si>
    <t xml:space="preserve">est </t>
  </si>
  <si>
    <t>Shred-It costs (York) - Interview tapes</t>
  </si>
  <si>
    <t>5x MFD (unless any surplus identified)</t>
  </si>
  <si>
    <t>Shredit Costs (est £2250 mth 9 staff)</t>
  </si>
  <si>
    <t>est</t>
  </si>
  <si>
    <t>Vehicle Cost (re Richmond Court House / Transfer Paperwork &amp; Tapes)</t>
  </si>
  <si>
    <t>Ext Scanning - indicative costs</t>
  </si>
  <si>
    <t xml:space="preserve">850,000 sheets </t>
  </si>
  <si>
    <t>Team 2 - Op (HQ)</t>
  </si>
  <si>
    <t>6x PCs (unless any in stores) (T/Leader PC cost in Corporate section)</t>
  </si>
  <si>
    <t>Shred-It Costs - Media (tapes) 35p/kg</t>
  </si>
  <si>
    <t>(Base at HQ)</t>
  </si>
  <si>
    <t>6x RRD Assistants - 18 months FTC - Sc3</t>
  </si>
  <si>
    <t>Mobile Phone</t>
  </si>
  <si>
    <t>1x RRD Team Leader (role TBD) - jnt resp with HQ Corporate - Sc6 TBC (20 months)</t>
  </si>
  <si>
    <t>MS Project &amp; Visio (Standard)</t>
  </si>
  <si>
    <t>Annual Charge</t>
  </si>
  <si>
    <t>Shred-It costs</t>
  </si>
  <si>
    <t>4x MFD (unless any surplus identified)</t>
  </si>
  <si>
    <t>External scanning - Firearms Licencing</t>
  </si>
  <si>
    <t>Team 3 - Op (Existing RRD Team)</t>
  </si>
  <si>
    <t>10x RRD Assistants - extend contracts 12 mths (Oct16-Sep17) - Sc3</t>
  </si>
  <si>
    <t>(Base HQ &amp; K'boro)</t>
  </si>
  <si>
    <t>1x RRD Team Leader/extend existing arrangement K'boro (Oct16-Sep17) - Sc6 TBC</t>
  </si>
  <si>
    <t>2x MFD for Knaresborough (unless any surplus identified)</t>
  </si>
  <si>
    <t>3. Corporate Paper Records</t>
  </si>
  <si>
    <t>Team 4 - HQ Corporate team</t>
  </si>
  <si>
    <t>7x PCs (unless any in stores)</t>
  </si>
  <si>
    <t>Base at HQ</t>
  </si>
  <si>
    <t>1x RRD Team Leader (role TBD) - jnt resp with HQ Operational - Sc6 TBC (20 months)</t>
  </si>
  <si>
    <t>HR Ops &amp; PS</t>
  </si>
  <si>
    <t>External scanning (if opport presents - historical)</t>
  </si>
  <si>
    <t>Finance</t>
  </si>
  <si>
    <t>Oracle Costs incl licences (Processing of Electronic Invoices)</t>
  </si>
  <si>
    <t>4. Other Media</t>
  </si>
  <si>
    <t>Digital Forensic</t>
  </si>
  <si>
    <t>Archive Data Store</t>
  </si>
  <si>
    <t>ICT budget</t>
  </si>
  <si>
    <t>RRD Activities</t>
  </si>
  <si>
    <t>Already covered in Team 2 costs detailed above</t>
  </si>
  <si>
    <t>Interview Tapes</t>
  </si>
  <si>
    <t>Included in Team 1 costs</t>
  </si>
  <si>
    <t>Images</t>
  </si>
  <si>
    <t>Recommend wider digital images and forensic project including BWV, In Car Video, Collision Investigation, Safety Camera Vans etc</t>
  </si>
  <si>
    <t>Overall Support Requirements (Assumption of all 4 Workstreams are Supported)</t>
  </si>
  <si>
    <t>Records Manager - Operational Electronic &amp; existing responsibilities - PO3-6</t>
  </si>
  <si>
    <t>Dept budget</t>
  </si>
  <si>
    <t>T/Records Manager - All other (21 months secondment) - PO3-6</t>
  </si>
  <si>
    <t>T/Records Manager - PC</t>
  </si>
  <si>
    <t>Project Manager (21 months) - PO9-12</t>
  </si>
  <si>
    <t>Project Manager - PC</t>
  </si>
  <si>
    <t>Business Analyst x2 (18 months) - PO6-9</t>
  </si>
  <si>
    <t>Business Analyst - x2 PCs</t>
  </si>
  <si>
    <t>Application Support Engineer - Permanent - SO1-2</t>
  </si>
  <si>
    <t>Application Support Engineer - PC</t>
  </si>
  <si>
    <t>External development costs (Corporate &amp; Operational records)</t>
  </si>
  <si>
    <t>ICT Storage (scanning)</t>
  </si>
  <si>
    <t>ICT Storage - ongoing revenue</t>
  </si>
  <si>
    <t>Training</t>
  </si>
  <si>
    <t xml:space="preserve">Mobile Phones </t>
  </si>
  <si>
    <t>OVERALL TOTAL</t>
  </si>
  <si>
    <t xml:space="preserve">It has on occassion been necessary to use contractors on various roles due to difficulties experienced in recruiting to other projects.  Taking this into consideration the following costs relate to contractors working 208 productive days.  We are therefore seeking approval to spend to this budget should this recruitment route be required.   </t>
  </si>
  <si>
    <t>Contractor Costs</t>
  </si>
  <si>
    <t>Senior Applications Support Engineer (2yr FTC) - PO6-9 @ £250p/day</t>
  </si>
  <si>
    <t>Project Manager (21 months) - PO9-12 @ £350p/day</t>
  </si>
  <si>
    <t>Less Standard Costs</t>
  </si>
  <si>
    <t xml:space="preserve">Senior Applications Support Engineer (2yr FTC) - PO6-9 </t>
  </si>
  <si>
    <t xml:space="preserve">Project Manager (21 months) - PO9-12 </t>
  </si>
  <si>
    <t>Contractor variance:</t>
  </si>
  <si>
    <t>Total:</t>
  </si>
  <si>
    <t>Summary of Investment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</si>
</sst>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64" formatCode="&quot;£&quot;#,##0"/>
    <numFmt numFmtId="165" formatCode="&quot;£&quot;#,##0.00"/>
  </numFmts>
  <fonts count="6" x14ac:knownFonts="1">
    <font>
      <sz val="10"/>
      <color theme="1"/>
      <name val="Arial"/>
      <family val="2"/>
    </font>
    <font>
      <sz val="10"/>
      <color rgb="FFFF0000"/>
      <name val="Arial"/>
      <family val="2"/>
    </font>
    <font>
      <b/>
      <sz val="10"/>
      <color theme="1"/>
      <name val="Arial"/>
      <family val="2"/>
    </font>
    <font>
      <b/>
      <u/>
      <sz val="11"/>
      <color theme="1"/>
      <name val="Arial"/>
      <family val="2"/>
    </font>
    <font>
      <b/>
      <u/>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36">
    <xf numFmtId="0" fontId="0" fillId="0" borderId="0" xfId="0"/>
    <xf numFmtId="0" fontId="3" fillId="0" borderId="0" xfId="0" applyFont="1"/>
    <xf numFmtId="164" fontId="0" fillId="0" borderId="0" xfId="0" applyNumberFormat="1"/>
    <xf numFmtId="0" fontId="2" fillId="0" borderId="0" xfId="0" applyFont="1"/>
    <xf numFmtId="0" fontId="4" fillId="0" borderId="0" xfId="0" applyFont="1"/>
    <xf numFmtId="0" fontId="2" fillId="0" borderId="0" xfId="0" applyFont="1" applyAlignment="1">
      <alignment horizontal="center"/>
    </xf>
    <xf numFmtId="164" fontId="2" fillId="0" borderId="0" xfId="0" applyNumberFormat="1" applyFont="1"/>
    <xf numFmtId="0" fontId="0" fillId="0" borderId="0" xfId="0" applyFill="1"/>
    <xf numFmtId="0" fontId="0" fillId="0" borderId="1" xfId="0" applyBorder="1"/>
    <xf numFmtId="0" fontId="2" fillId="0" borderId="1" xfId="0" applyFont="1" applyBorder="1"/>
    <xf numFmtId="164" fontId="2" fillId="0" borderId="1" xfId="0" applyNumberFormat="1" applyFont="1" applyBorder="1"/>
    <xf numFmtId="0" fontId="5" fillId="0" borderId="0" xfId="0" applyFont="1"/>
    <xf numFmtId="164" fontId="0" fillId="0" borderId="0" xfId="0" applyNumberFormat="1" applyFont="1" applyAlignment="1">
      <alignment horizontal="right"/>
    </xf>
    <xf numFmtId="0" fontId="0" fillId="0" borderId="0" xfId="0" applyFont="1"/>
    <xf numFmtId="164" fontId="0" fillId="0" borderId="0" xfId="0" applyNumberFormat="1" applyAlignment="1">
      <alignment horizontal="right"/>
    </xf>
    <xf numFmtId="165" fontId="0" fillId="0" borderId="0" xfId="0" applyNumberFormat="1" applyFont="1" applyAlignment="1">
      <alignment horizontal="right"/>
    </xf>
    <xf numFmtId="165" fontId="0" fillId="0" borderId="0" xfId="0" applyNumberFormat="1"/>
    <xf numFmtId="165" fontId="0" fillId="0" borderId="0" xfId="0" applyNumberFormat="1" applyAlignment="1">
      <alignment horizontal="right"/>
    </xf>
    <xf numFmtId="0" fontId="2" fillId="0" borderId="0" xfId="0" applyFont="1" applyFill="1"/>
    <xf numFmtId="0" fontId="5" fillId="0" borderId="0" xfId="0" applyFont="1" applyFill="1"/>
    <xf numFmtId="164" fontId="0" fillId="0" borderId="0" xfId="0" applyNumberFormat="1" applyFont="1" applyFill="1" applyAlignment="1">
      <alignment horizontal="right"/>
    </xf>
    <xf numFmtId="0" fontId="0" fillId="0" borderId="1" xfId="0" applyFill="1" applyBorder="1"/>
    <xf numFmtId="164" fontId="2" fillId="0" borderId="1" xfId="0" applyNumberFormat="1" applyFont="1" applyBorder="1" applyAlignment="1">
      <alignment horizontal="right"/>
    </xf>
    <xf numFmtId="164" fontId="2" fillId="0" borderId="0" xfId="0" applyNumberFormat="1" applyFont="1" applyAlignment="1">
      <alignment horizontal="right"/>
    </xf>
    <xf numFmtId="164" fontId="0" fillId="0" borderId="0" xfId="0" applyNumberFormat="1" applyFill="1" applyAlignment="1">
      <alignment horizontal="right"/>
    </xf>
    <xf numFmtId="164" fontId="1" fillId="0" borderId="0" xfId="0" applyNumberFormat="1" applyFont="1"/>
    <xf numFmtId="164" fontId="5" fillId="0" borderId="0" xfId="0" applyNumberFormat="1" applyFont="1"/>
    <xf numFmtId="0" fontId="4" fillId="0" borderId="0" xfId="0" applyFont="1" applyFill="1"/>
    <xf numFmtId="164" fontId="0" fillId="0" borderId="0" xfId="0" applyNumberFormat="1" applyFill="1"/>
    <xf numFmtId="0" fontId="0" fillId="0" borderId="2" xfId="0" applyBorder="1"/>
    <xf numFmtId="0" fontId="2" fillId="0" borderId="2" xfId="0" applyFont="1" applyBorder="1"/>
    <xf numFmtId="164" fontId="2" fillId="0" borderId="2" xfId="0" applyNumberFormat="1" applyFont="1" applyBorder="1"/>
    <xf numFmtId="0" fontId="4" fillId="0" borderId="0" xfId="0" applyFont="1" applyBorder="1"/>
    <xf numFmtId="0" fontId="2" fillId="0" borderId="0" xfId="0" applyFont="1" applyAlignment="1">
      <alignment horizontal="right"/>
    </xf>
    <xf numFmtId="0" fontId="0" fillId="0" borderId="0" xfId="0" applyAlignment="1">
      <alignment horizontal="left" wrapText="1"/>
    </xf>
    <xf numFmtId="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M%20Mnt\Affordability%20IM%2045%2015\2%20-%202nd%20stage%20requirements%20Aug%2015\Affordability%20Calcs%20v7.0%20191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on Mountain - C&amp;O Order"/>
      <sheetName val="Budget incl Contractors"/>
      <sheetName val="Budget - Contractor 1"/>
      <sheetName val="SharePoint Reqts"/>
      <sheetName val="Budget Oppts"/>
    </sheetNames>
    <sheetDataSet>
      <sheetData sheetId="0"/>
      <sheetData sheetId="1"/>
      <sheetData sheetId="2">
        <row r="4">
          <cell r="D4">
            <v>52000</v>
          </cell>
          <cell r="E4">
            <v>52000</v>
          </cell>
        </row>
        <row r="56">
          <cell r="C56">
            <v>18200</v>
          </cell>
          <cell r="D56">
            <v>72800</v>
          </cell>
          <cell r="E56">
            <v>36400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abSelected="1" topLeftCell="A55" zoomScaleNormal="100" workbookViewId="0">
      <selection activeCell="F86" sqref="F86"/>
    </sheetView>
  </sheetViews>
  <sheetFormatPr defaultRowHeight="12.75" x14ac:dyDescent="0.2"/>
  <cols>
    <col min="1" max="1" width="29.28515625" customWidth="1"/>
    <col min="2" max="2" width="68" customWidth="1"/>
    <col min="3" max="3" width="12.7109375" customWidth="1"/>
    <col min="4" max="4" width="11.28515625" customWidth="1"/>
    <col min="5" max="7" width="11.28515625" bestFit="1" customWidth="1"/>
    <col min="9" max="9" width="12.28515625" customWidth="1"/>
    <col min="10" max="10" width="6" customWidth="1"/>
    <col min="11" max="11" width="39.85546875" hidden="1" customWidth="1"/>
    <col min="12" max="12" width="9.7109375" hidden="1" customWidth="1"/>
    <col min="13" max="13" width="17.7109375" hidden="1" customWidth="1"/>
    <col min="14" max="14" width="16.7109375" style="2" hidden="1" customWidth="1"/>
  </cols>
  <sheetData>
    <row r="1" spans="1:14" ht="15" x14ac:dyDescent="0.25">
      <c r="A1" s="1" t="s">
        <v>107</v>
      </c>
    </row>
    <row r="2" spans="1:14" x14ac:dyDescent="0.2">
      <c r="B2" s="3"/>
      <c r="C2" s="3"/>
    </row>
    <row r="3" spans="1:14" x14ac:dyDescent="0.2">
      <c r="A3" s="4" t="s">
        <v>0</v>
      </c>
      <c r="B3" s="3"/>
      <c r="C3" s="5" t="s">
        <v>1</v>
      </c>
      <c r="D3" s="5" t="s">
        <v>2</v>
      </c>
      <c r="E3" s="5" t="s">
        <v>3</v>
      </c>
      <c r="F3" s="5" t="s">
        <v>4</v>
      </c>
      <c r="G3" s="5" t="s">
        <v>5</v>
      </c>
      <c r="H3" s="5" t="s">
        <v>6</v>
      </c>
      <c r="I3" s="5" t="s">
        <v>7</v>
      </c>
      <c r="K3" s="3" t="s">
        <v>8</v>
      </c>
      <c r="M3" s="2"/>
      <c r="N3" s="6" t="s">
        <v>9</v>
      </c>
    </row>
    <row r="4" spans="1:14" x14ac:dyDescent="0.2">
      <c r="B4" s="7" t="s">
        <v>10</v>
      </c>
      <c r="D4" s="2">
        <f>N7</f>
        <v>45630</v>
      </c>
      <c r="E4" s="2">
        <f>N7</f>
        <v>45630</v>
      </c>
      <c r="K4" t="s">
        <v>11</v>
      </c>
      <c r="L4" s="2">
        <v>1400</v>
      </c>
    </row>
    <row r="5" spans="1:14" x14ac:dyDescent="0.2">
      <c r="B5" t="s">
        <v>12</v>
      </c>
      <c r="C5" s="2">
        <f>L4</f>
        <v>1400</v>
      </c>
      <c r="E5" s="2"/>
      <c r="F5" s="2"/>
      <c r="G5" s="2"/>
      <c r="H5" s="2"/>
      <c r="K5" t="s">
        <v>13</v>
      </c>
      <c r="L5" s="2">
        <v>21763</v>
      </c>
      <c r="N5" s="2">
        <v>22175</v>
      </c>
    </row>
    <row r="6" spans="1:14" x14ac:dyDescent="0.2">
      <c r="B6" t="s">
        <v>14</v>
      </c>
      <c r="D6" s="2" t="s">
        <v>15</v>
      </c>
      <c r="E6" s="2" t="s">
        <v>15</v>
      </c>
      <c r="F6" s="2" t="s">
        <v>15</v>
      </c>
      <c r="G6" s="2" t="s">
        <v>15</v>
      </c>
      <c r="H6" s="2" t="s">
        <v>15</v>
      </c>
      <c r="K6" t="s">
        <v>16</v>
      </c>
      <c r="L6" s="2">
        <v>21763</v>
      </c>
      <c r="M6" s="2"/>
      <c r="N6" s="2">
        <v>22175</v>
      </c>
    </row>
    <row r="7" spans="1:14" x14ac:dyDescent="0.2">
      <c r="A7" s="8"/>
      <c r="B7" s="9" t="s">
        <v>17</v>
      </c>
      <c r="C7" s="10">
        <f>SUM(C4:C6)</f>
        <v>1400</v>
      </c>
      <c r="D7" s="10">
        <f>SUM(D4:D5)</f>
        <v>45630</v>
      </c>
      <c r="E7" s="10">
        <f>SUM(E4:E5)</f>
        <v>45630</v>
      </c>
      <c r="F7" s="10">
        <f>SUM(F4:F5)</f>
        <v>0</v>
      </c>
      <c r="G7" s="10">
        <f>SUM(G4:G5)</f>
        <v>0</v>
      </c>
      <c r="H7" s="10">
        <f>SUM(H4:H5)</f>
        <v>0</v>
      </c>
      <c r="I7" s="10">
        <f>SUM(C7:H7)</f>
        <v>92660</v>
      </c>
      <c r="K7" t="s">
        <v>18</v>
      </c>
      <c r="L7" s="2">
        <v>44584</v>
      </c>
      <c r="M7" s="2"/>
      <c r="N7" s="2">
        <v>45630</v>
      </c>
    </row>
    <row r="8" spans="1:14" x14ac:dyDescent="0.2">
      <c r="B8" s="3"/>
      <c r="C8" s="3"/>
      <c r="D8" s="6"/>
      <c r="E8" s="6"/>
      <c r="F8" s="6"/>
      <c r="G8" s="6"/>
      <c r="H8" s="6"/>
      <c r="I8" s="6"/>
      <c r="K8" t="s">
        <v>19</v>
      </c>
      <c r="L8" s="2">
        <v>36697</v>
      </c>
      <c r="M8" s="2"/>
      <c r="N8" s="2">
        <v>37525</v>
      </c>
    </row>
    <row r="9" spans="1:14" x14ac:dyDescent="0.2">
      <c r="K9" t="s">
        <v>20</v>
      </c>
      <c r="L9" s="2">
        <v>40800</v>
      </c>
      <c r="M9" s="2"/>
      <c r="N9" s="2">
        <v>41741</v>
      </c>
    </row>
    <row r="10" spans="1:14" x14ac:dyDescent="0.2">
      <c r="A10" s="4" t="s">
        <v>21</v>
      </c>
      <c r="C10" s="5" t="s">
        <v>1</v>
      </c>
      <c r="D10" s="5" t="s">
        <v>2</v>
      </c>
      <c r="E10" s="5" t="s">
        <v>3</v>
      </c>
      <c r="F10" s="5" t="s">
        <v>4</v>
      </c>
      <c r="G10" s="5" t="s">
        <v>5</v>
      </c>
      <c r="H10" s="5" t="s">
        <v>6</v>
      </c>
      <c r="I10" s="5" t="s">
        <v>7</v>
      </c>
      <c r="K10" t="s">
        <v>22</v>
      </c>
      <c r="L10" s="2">
        <v>48163</v>
      </c>
      <c r="M10" s="2"/>
      <c r="N10" s="2">
        <v>49307</v>
      </c>
    </row>
    <row r="11" spans="1:14" x14ac:dyDescent="0.2">
      <c r="A11" s="3" t="s">
        <v>23</v>
      </c>
      <c r="B11" s="11" t="s">
        <v>24</v>
      </c>
      <c r="C11" s="12">
        <f>6*L4</f>
        <v>8400</v>
      </c>
      <c r="E11" s="12"/>
      <c r="F11" s="12"/>
      <c r="G11" s="12"/>
      <c r="H11" s="12"/>
      <c r="I11" s="12"/>
      <c r="K11" t="s">
        <v>25</v>
      </c>
      <c r="L11" s="2">
        <v>44548</v>
      </c>
      <c r="M11" s="2"/>
      <c r="N11" s="2">
        <v>45630</v>
      </c>
    </row>
    <row r="12" spans="1:14" x14ac:dyDescent="0.2">
      <c r="A12" s="13" t="s">
        <v>26</v>
      </c>
      <c r="B12" s="11" t="s">
        <v>27</v>
      </c>
      <c r="C12" s="14"/>
      <c r="D12" s="12">
        <f>9*N5</f>
        <v>199575</v>
      </c>
      <c r="E12" s="12">
        <f>9*N5/2</f>
        <v>99787.5</v>
      </c>
      <c r="F12" s="12"/>
      <c r="G12" s="12"/>
      <c r="H12" s="12"/>
      <c r="I12" s="12"/>
      <c r="K12" t="s">
        <v>28</v>
      </c>
      <c r="L12" s="2">
        <v>30161</v>
      </c>
      <c r="M12" t="s">
        <v>29</v>
      </c>
      <c r="N12" s="2">
        <v>30807</v>
      </c>
    </row>
    <row r="13" spans="1:14" x14ac:dyDescent="0.2">
      <c r="A13" s="13" t="s">
        <v>30</v>
      </c>
      <c r="B13" s="11" t="s">
        <v>31</v>
      </c>
      <c r="C13" s="14">
        <f>SUM(L12/12)*2</f>
        <v>5026.833333333333</v>
      </c>
      <c r="D13" s="12">
        <f>N12</f>
        <v>30807</v>
      </c>
      <c r="E13" s="15">
        <f>N12/2</f>
        <v>15403.5</v>
      </c>
      <c r="F13" s="12"/>
      <c r="G13" s="12"/>
      <c r="H13" s="12"/>
      <c r="I13" s="12"/>
      <c r="K13" t="s">
        <v>32</v>
      </c>
      <c r="L13" s="2">
        <v>36697</v>
      </c>
      <c r="N13" s="2">
        <v>37525</v>
      </c>
    </row>
    <row r="14" spans="1:14" x14ac:dyDescent="0.2">
      <c r="A14" s="13"/>
      <c r="B14" t="s">
        <v>33</v>
      </c>
      <c r="C14" s="14"/>
      <c r="D14" s="14">
        <f>N6/2</f>
        <v>11087.5</v>
      </c>
      <c r="E14" s="12"/>
      <c r="F14" s="12"/>
      <c r="G14" s="12"/>
      <c r="H14" s="12"/>
      <c r="I14" s="12"/>
      <c r="K14" t="s">
        <v>34</v>
      </c>
      <c r="L14" s="16">
        <v>677.72</v>
      </c>
    </row>
    <row r="15" spans="1:14" x14ac:dyDescent="0.2">
      <c r="A15" s="13"/>
      <c r="B15" s="11" t="s">
        <v>35</v>
      </c>
      <c r="C15" s="14"/>
      <c r="D15" s="12">
        <f>L17</f>
        <v>27000</v>
      </c>
      <c r="E15" s="12">
        <f>L17/2</f>
        <v>13500</v>
      </c>
      <c r="F15" s="12"/>
      <c r="G15" s="12"/>
      <c r="H15" s="12"/>
      <c r="I15" s="12"/>
      <c r="K15" t="s">
        <v>36</v>
      </c>
      <c r="L15" s="2">
        <v>18000</v>
      </c>
      <c r="M15" t="s">
        <v>37</v>
      </c>
    </row>
    <row r="16" spans="1:14" x14ac:dyDescent="0.2">
      <c r="A16" s="13"/>
      <c r="B16" s="11" t="s">
        <v>38</v>
      </c>
      <c r="C16" s="14"/>
      <c r="D16" s="12">
        <f>L19</f>
        <v>5125</v>
      </c>
      <c r="E16" s="12"/>
      <c r="F16" s="12"/>
      <c r="G16" s="12"/>
      <c r="H16" s="12"/>
      <c r="I16" s="12"/>
      <c r="L16" s="2"/>
    </row>
    <row r="17" spans="1:13" customFormat="1" x14ac:dyDescent="0.2">
      <c r="A17" s="13"/>
      <c r="B17" s="11" t="s">
        <v>39</v>
      </c>
      <c r="C17" s="14"/>
      <c r="D17" s="12">
        <f>5*L14</f>
        <v>3388.6000000000004</v>
      </c>
      <c r="E17" s="12">
        <f>5*L14/2</f>
        <v>1694.3000000000002</v>
      </c>
      <c r="F17" s="12"/>
      <c r="G17" s="12"/>
      <c r="H17" s="12"/>
      <c r="I17" s="12"/>
      <c r="K17" t="s">
        <v>40</v>
      </c>
      <c r="L17" s="2">
        <v>27000</v>
      </c>
      <c r="M17" t="s">
        <v>41</v>
      </c>
    </row>
    <row r="18" spans="1:13" customFormat="1" x14ac:dyDescent="0.2">
      <c r="A18" s="13"/>
      <c r="B18" s="11" t="s">
        <v>42</v>
      </c>
      <c r="C18" s="14"/>
      <c r="D18" s="12">
        <v>3800</v>
      </c>
      <c r="E18" s="12">
        <f>3800/2</f>
        <v>1900</v>
      </c>
      <c r="F18" s="12"/>
      <c r="G18" s="12"/>
      <c r="H18" s="12"/>
      <c r="I18" s="12"/>
      <c r="K18" t="s">
        <v>43</v>
      </c>
      <c r="L18" s="2">
        <v>11000</v>
      </c>
      <c r="M18" s="13" t="s">
        <v>44</v>
      </c>
    </row>
    <row r="19" spans="1:13" customFormat="1" x14ac:dyDescent="0.2">
      <c r="A19" s="3" t="s">
        <v>45</v>
      </c>
      <c r="B19" s="11" t="s">
        <v>46</v>
      </c>
      <c r="C19" s="12">
        <f>6*L4</f>
        <v>8400</v>
      </c>
      <c r="E19" s="12"/>
      <c r="F19" s="12"/>
      <c r="G19" s="12"/>
      <c r="H19" s="12"/>
      <c r="I19" s="12"/>
      <c r="K19" t="s">
        <v>47</v>
      </c>
      <c r="L19" s="2">
        <v>5125</v>
      </c>
    </row>
    <row r="20" spans="1:13" customFormat="1" x14ac:dyDescent="0.2">
      <c r="A20" s="13" t="s">
        <v>48</v>
      </c>
      <c r="B20" s="11" t="s">
        <v>49</v>
      </c>
      <c r="C20" s="14"/>
      <c r="D20" s="12">
        <f>6*N5</f>
        <v>133050</v>
      </c>
      <c r="E20" s="12">
        <f>6*N5/2</f>
        <v>66525</v>
      </c>
      <c r="F20" s="12"/>
      <c r="G20" s="12"/>
      <c r="H20" s="12"/>
      <c r="I20" s="12"/>
      <c r="K20" t="s">
        <v>50</v>
      </c>
      <c r="L20" s="2">
        <v>120</v>
      </c>
    </row>
    <row r="21" spans="1:13" customFormat="1" x14ac:dyDescent="0.2">
      <c r="A21" s="13"/>
      <c r="B21" t="s">
        <v>51</v>
      </c>
      <c r="C21" s="17">
        <f>SUM(L12/12)*1</f>
        <v>2513.4166666666665</v>
      </c>
      <c r="D21" s="17">
        <f>N12/2</f>
        <v>15403.5</v>
      </c>
      <c r="E21" s="17">
        <f>N12/4</f>
        <v>7701.75</v>
      </c>
      <c r="F21" s="14"/>
      <c r="G21" s="12"/>
      <c r="H21" s="12"/>
      <c r="I21" s="12"/>
      <c r="K21" t="s">
        <v>52</v>
      </c>
      <c r="L21" s="2">
        <v>130</v>
      </c>
      <c r="M21" t="s">
        <v>53</v>
      </c>
    </row>
    <row r="22" spans="1:13" customFormat="1" x14ac:dyDescent="0.2">
      <c r="A22" s="13"/>
      <c r="B22" s="11" t="s">
        <v>54</v>
      </c>
      <c r="C22" s="14"/>
      <c r="D22" s="12">
        <f>L15</f>
        <v>18000</v>
      </c>
      <c r="E22" s="12">
        <f>L15/2</f>
        <v>9000</v>
      </c>
      <c r="F22" s="12"/>
      <c r="G22" s="12"/>
      <c r="H22" s="12"/>
      <c r="I22" s="12"/>
    </row>
    <row r="23" spans="1:13" customFormat="1" x14ac:dyDescent="0.2">
      <c r="A23" s="13"/>
      <c r="B23" s="11" t="s">
        <v>55</v>
      </c>
      <c r="C23" s="14"/>
      <c r="D23" s="12">
        <f>4*L14</f>
        <v>2710.88</v>
      </c>
      <c r="E23" s="12">
        <f>4*L14/2</f>
        <v>1355.44</v>
      </c>
      <c r="F23" s="12"/>
      <c r="G23" s="12"/>
      <c r="H23" s="12"/>
      <c r="I23" s="12"/>
    </row>
    <row r="24" spans="1:13" customFormat="1" x14ac:dyDescent="0.2">
      <c r="B24" t="s">
        <v>56</v>
      </c>
      <c r="C24" s="14"/>
      <c r="D24" s="14">
        <f>3*L18</f>
        <v>33000</v>
      </c>
      <c r="E24" s="12"/>
      <c r="F24" s="12"/>
      <c r="G24" s="12"/>
      <c r="H24" s="12"/>
      <c r="I24" s="12"/>
    </row>
    <row r="25" spans="1:13" customFormat="1" x14ac:dyDescent="0.2">
      <c r="A25" s="18" t="s">
        <v>57</v>
      </c>
      <c r="B25" s="19" t="s">
        <v>58</v>
      </c>
      <c r="C25" s="20"/>
      <c r="D25" s="20">
        <f>10*N5/2</f>
        <v>110875</v>
      </c>
      <c r="E25" s="20">
        <f>10*N5/2</f>
        <v>110875</v>
      </c>
      <c r="F25" s="12"/>
      <c r="G25" s="12"/>
      <c r="H25" s="12"/>
      <c r="I25" s="12"/>
    </row>
    <row r="26" spans="1:13" customFormat="1" x14ac:dyDescent="0.2">
      <c r="A26" s="13" t="s">
        <v>59</v>
      </c>
      <c r="B26" s="11" t="s">
        <v>60</v>
      </c>
      <c r="C26" s="12"/>
      <c r="D26" s="15">
        <f>N12/2</f>
        <v>15403.5</v>
      </c>
      <c r="E26" s="15">
        <f>N12/2</f>
        <v>15403.5</v>
      </c>
      <c r="F26" s="12"/>
      <c r="G26" s="12"/>
      <c r="H26" s="12"/>
      <c r="I26" s="12"/>
    </row>
    <row r="27" spans="1:13" customFormat="1" x14ac:dyDescent="0.2">
      <c r="A27" s="13"/>
      <c r="B27" s="11" t="s">
        <v>54</v>
      </c>
      <c r="C27" s="12"/>
      <c r="D27" s="12">
        <f>L15</f>
        <v>18000</v>
      </c>
      <c r="E27" s="12">
        <f>L15/2</f>
        <v>9000</v>
      </c>
      <c r="F27" s="12"/>
      <c r="G27" s="12"/>
      <c r="H27" s="12"/>
      <c r="I27" s="12"/>
    </row>
    <row r="28" spans="1:13" customFormat="1" x14ac:dyDescent="0.2">
      <c r="A28" s="13"/>
      <c r="B28" s="11" t="s">
        <v>61</v>
      </c>
      <c r="C28" s="12"/>
      <c r="D28" s="12">
        <f>2*L14</f>
        <v>1355.44</v>
      </c>
      <c r="E28" s="12">
        <f>L14</f>
        <v>677.72</v>
      </c>
      <c r="F28" s="12"/>
      <c r="G28" s="12"/>
      <c r="H28" s="12"/>
      <c r="I28" s="12"/>
    </row>
    <row r="29" spans="1:13" customFormat="1" x14ac:dyDescent="0.2">
      <c r="A29" s="21"/>
      <c r="B29" s="9" t="s">
        <v>17</v>
      </c>
      <c r="C29" s="22">
        <f t="shared" ref="C29:H29" si="0">SUM(C11:C28)</f>
        <v>24340.25</v>
      </c>
      <c r="D29" s="22">
        <f t="shared" si="0"/>
        <v>628581.41999999993</v>
      </c>
      <c r="E29" s="22">
        <f t="shared" si="0"/>
        <v>352823.70999999996</v>
      </c>
      <c r="F29" s="22">
        <f t="shared" si="0"/>
        <v>0</v>
      </c>
      <c r="G29" s="22">
        <f t="shared" si="0"/>
        <v>0</v>
      </c>
      <c r="H29" s="22">
        <f t="shared" si="0"/>
        <v>0</v>
      </c>
      <c r="I29" s="22">
        <f>SUM(C29:H29)</f>
        <v>1005745.3799999999</v>
      </c>
    </row>
    <row r="30" spans="1:13" customFormat="1" x14ac:dyDescent="0.2">
      <c r="A30" s="7"/>
      <c r="B30" s="3"/>
      <c r="C30" s="23"/>
      <c r="D30" s="23"/>
      <c r="E30" s="23"/>
      <c r="F30" s="23"/>
      <c r="G30" s="23"/>
      <c r="H30" s="23"/>
      <c r="I30" s="23"/>
    </row>
    <row r="31" spans="1:13" customFormat="1" x14ac:dyDescent="0.2">
      <c r="A31" s="7"/>
      <c r="B31" s="7"/>
      <c r="C31" s="24"/>
      <c r="D31" s="14"/>
      <c r="E31" s="14"/>
      <c r="F31" s="14"/>
      <c r="G31" s="14"/>
      <c r="H31" s="14"/>
      <c r="I31" s="14"/>
    </row>
    <row r="32" spans="1:13" customFormat="1" x14ac:dyDescent="0.2">
      <c r="A32" s="4" t="s">
        <v>62</v>
      </c>
      <c r="B32" s="7"/>
      <c r="C32" s="5" t="s">
        <v>1</v>
      </c>
      <c r="D32" s="5" t="s">
        <v>2</v>
      </c>
      <c r="E32" s="5" t="s">
        <v>3</v>
      </c>
      <c r="F32" s="5" t="s">
        <v>4</v>
      </c>
      <c r="G32" s="5" t="s">
        <v>5</v>
      </c>
      <c r="H32" s="5" t="s">
        <v>6</v>
      </c>
      <c r="I32" s="5" t="s">
        <v>7</v>
      </c>
    </row>
    <row r="33" spans="1:9" customFormat="1" ht="12" customHeight="1" x14ac:dyDescent="0.2">
      <c r="A33" s="3" t="s">
        <v>63</v>
      </c>
      <c r="B33" t="s">
        <v>64</v>
      </c>
      <c r="C33" s="2">
        <f>7*L4</f>
        <v>9800</v>
      </c>
      <c r="E33" s="2"/>
      <c r="F33" s="2"/>
      <c r="G33" s="2"/>
      <c r="H33" s="2"/>
      <c r="I33" s="2"/>
    </row>
    <row r="34" spans="1:9" customFormat="1" ht="12" customHeight="1" x14ac:dyDescent="0.2">
      <c r="A34" t="s">
        <v>65</v>
      </c>
      <c r="B34" t="s">
        <v>49</v>
      </c>
      <c r="C34" s="2"/>
      <c r="D34" s="2">
        <f>6*N5</f>
        <v>133050</v>
      </c>
      <c r="E34" s="2">
        <f>6*N5/2</f>
        <v>66525</v>
      </c>
      <c r="F34" s="2"/>
      <c r="G34" s="2"/>
      <c r="H34" s="2"/>
      <c r="I34" s="2"/>
    </row>
    <row r="35" spans="1:9" customFormat="1" x14ac:dyDescent="0.2">
      <c r="B35" t="s">
        <v>66</v>
      </c>
      <c r="C35" s="2">
        <f>SUM(L12/12)*1</f>
        <v>2513.4166666666665</v>
      </c>
      <c r="D35" s="16">
        <f>N12/2</f>
        <v>15403.5</v>
      </c>
      <c r="E35" s="16">
        <f>N12/4</f>
        <v>7701.75</v>
      </c>
      <c r="F35" s="25"/>
      <c r="G35" s="25"/>
      <c r="H35" s="25"/>
      <c r="I35" s="2"/>
    </row>
    <row r="36" spans="1:9" customFormat="1" x14ac:dyDescent="0.2">
      <c r="B36" t="s">
        <v>54</v>
      </c>
      <c r="C36" s="2"/>
      <c r="D36" s="2">
        <f>L15</f>
        <v>18000</v>
      </c>
      <c r="E36" s="2">
        <f>L15/2</f>
        <v>9000</v>
      </c>
      <c r="F36" s="25"/>
      <c r="G36" s="25"/>
      <c r="H36" s="25"/>
      <c r="I36" s="2"/>
    </row>
    <row r="37" spans="1:9" customFormat="1" x14ac:dyDescent="0.2">
      <c r="B37" t="s">
        <v>55</v>
      </c>
      <c r="C37" s="2"/>
      <c r="D37" s="2">
        <f>4*L14</f>
        <v>2710.88</v>
      </c>
      <c r="E37" s="2">
        <f>4*L14/2</f>
        <v>1355.44</v>
      </c>
      <c r="F37" s="25"/>
      <c r="G37" s="25"/>
      <c r="H37" s="25"/>
      <c r="I37" s="2"/>
    </row>
    <row r="38" spans="1:9" customFormat="1" x14ac:dyDescent="0.2">
      <c r="A38" t="s">
        <v>67</v>
      </c>
      <c r="B38" t="s">
        <v>68</v>
      </c>
      <c r="C38" s="2"/>
      <c r="D38" s="2">
        <v>40000</v>
      </c>
      <c r="E38" s="2"/>
      <c r="F38" s="2"/>
      <c r="G38" s="2"/>
      <c r="H38" s="2"/>
      <c r="I38" s="2"/>
    </row>
    <row r="39" spans="1:9" customFormat="1" x14ac:dyDescent="0.2">
      <c r="A39" t="s">
        <v>69</v>
      </c>
      <c r="B39" t="s">
        <v>68</v>
      </c>
      <c r="C39" s="2"/>
      <c r="D39" s="2">
        <v>40000</v>
      </c>
      <c r="E39" s="2"/>
      <c r="F39" s="2"/>
      <c r="G39" s="2"/>
      <c r="H39" s="2"/>
      <c r="I39" s="2"/>
    </row>
    <row r="40" spans="1:9" customFormat="1" x14ac:dyDescent="0.2">
      <c r="A40" s="11" t="s">
        <v>69</v>
      </c>
      <c r="B40" s="11" t="s">
        <v>70</v>
      </c>
      <c r="C40" s="26"/>
      <c r="D40" s="26">
        <v>100000</v>
      </c>
      <c r="E40" s="2"/>
      <c r="F40" s="2"/>
      <c r="G40" s="2"/>
      <c r="H40" s="2"/>
      <c r="I40" s="2"/>
    </row>
    <row r="41" spans="1:9" customFormat="1" x14ac:dyDescent="0.2">
      <c r="A41" s="21"/>
      <c r="B41" s="9" t="s">
        <v>17</v>
      </c>
      <c r="C41" s="10">
        <f t="shared" ref="C41:H41" si="1">SUM(C33:C40)</f>
        <v>12313.416666666666</v>
      </c>
      <c r="D41" s="10">
        <f t="shared" si="1"/>
        <v>349164.38</v>
      </c>
      <c r="E41" s="10">
        <f t="shared" si="1"/>
        <v>84582.19</v>
      </c>
      <c r="F41" s="10">
        <f t="shared" si="1"/>
        <v>0</v>
      </c>
      <c r="G41" s="10">
        <f t="shared" si="1"/>
        <v>0</v>
      </c>
      <c r="H41" s="10">
        <f t="shared" si="1"/>
        <v>0</v>
      </c>
      <c r="I41" s="10">
        <f>SUM(C41:H41)</f>
        <v>446059.98666666669</v>
      </c>
    </row>
    <row r="42" spans="1:9" customFormat="1" x14ac:dyDescent="0.2">
      <c r="A42" s="7"/>
      <c r="B42" s="3"/>
      <c r="C42" s="3"/>
      <c r="D42" s="6"/>
      <c r="E42" s="6"/>
      <c r="F42" s="6"/>
      <c r="G42" s="6"/>
      <c r="H42" s="6"/>
      <c r="I42" s="6"/>
    </row>
    <row r="43" spans="1:9" customFormat="1" x14ac:dyDescent="0.2">
      <c r="A43" s="7"/>
      <c r="B43" s="7"/>
      <c r="C43" s="7"/>
    </row>
    <row r="44" spans="1:9" customFormat="1" x14ac:dyDescent="0.2">
      <c r="A44" s="27" t="s">
        <v>71</v>
      </c>
      <c r="B44" s="7"/>
      <c r="C44" s="5" t="s">
        <v>1</v>
      </c>
      <c r="D44" s="5" t="s">
        <v>2</v>
      </c>
      <c r="E44" s="5" t="s">
        <v>3</v>
      </c>
      <c r="F44" s="5" t="s">
        <v>4</v>
      </c>
      <c r="G44" s="5" t="s">
        <v>5</v>
      </c>
      <c r="H44" s="5" t="s">
        <v>6</v>
      </c>
      <c r="I44" s="5" t="s">
        <v>7</v>
      </c>
    </row>
    <row r="45" spans="1:9" customFormat="1" x14ac:dyDescent="0.2">
      <c r="A45" s="7" t="s">
        <v>72</v>
      </c>
      <c r="B45" s="7" t="s">
        <v>73</v>
      </c>
      <c r="C45" s="7" t="s">
        <v>74</v>
      </c>
      <c r="D45" s="28"/>
      <c r="E45" s="2"/>
      <c r="F45" s="2"/>
      <c r="G45" s="2"/>
      <c r="H45" s="2"/>
    </row>
    <row r="46" spans="1:9" customFormat="1" x14ac:dyDescent="0.2">
      <c r="A46" s="7" t="s">
        <v>72</v>
      </c>
      <c r="B46" s="19" t="s">
        <v>75</v>
      </c>
      <c r="C46" s="7" t="s">
        <v>76</v>
      </c>
      <c r="D46" s="28"/>
      <c r="E46" s="2"/>
      <c r="F46" s="2"/>
      <c r="G46" s="2"/>
      <c r="H46" s="2"/>
    </row>
    <row r="47" spans="1:9" customFormat="1" x14ac:dyDescent="0.2">
      <c r="A47" s="7" t="s">
        <v>77</v>
      </c>
      <c r="B47" s="19" t="s">
        <v>78</v>
      </c>
      <c r="C47" s="7"/>
      <c r="D47" s="28"/>
      <c r="E47" s="2"/>
      <c r="F47" s="2"/>
      <c r="G47" s="2"/>
      <c r="H47" s="2"/>
    </row>
    <row r="48" spans="1:9" customFormat="1" x14ac:dyDescent="0.2">
      <c r="A48" s="7" t="s">
        <v>79</v>
      </c>
      <c r="B48" s="7" t="s">
        <v>80</v>
      </c>
      <c r="C48" s="7"/>
      <c r="D48" s="28"/>
      <c r="E48" s="2"/>
      <c r="F48" s="2"/>
      <c r="G48" s="2"/>
      <c r="H48" s="2"/>
    </row>
    <row r="49" spans="1:9" customFormat="1" x14ac:dyDescent="0.2">
      <c r="A49" s="21"/>
      <c r="B49" s="9" t="s">
        <v>17</v>
      </c>
      <c r="C49" s="10">
        <f>SUM(C45:C48)</f>
        <v>0</v>
      </c>
      <c r="D49" s="10">
        <f t="shared" ref="D49:H49" si="2">SUM(D45:D48)</f>
        <v>0</v>
      </c>
      <c r="E49" s="10">
        <f t="shared" si="2"/>
        <v>0</v>
      </c>
      <c r="F49" s="10">
        <f t="shared" si="2"/>
        <v>0</v>
      </c>
      <c r="G49" s="10">
        <f t="shared" si="2"/>
        <v>0</v>
      </c>
      <c r="H49" s="10">
        <f t="shared" si="2"/>
        <v>0</v>
      </c>
      <c r="I49" s="10">
        <f>SUM(C49:H49)</f>
        <v>0</v>
      </c>
    </row>
    <row r="50" spans="1:9" customFormat="1" x14ac:dyDescent="0.2">
      <c r="A50" s="7"/>
      <c r="B50" s="7"/>
      <c r="C50" s="7"/>
      <c r="D50" s="28"/>
      <c r="E50" s="2"/>
      <c r="F50" s="2"/>
      <c r="G50" s="2"/>
      <c r="H50" s="2"/>
    </row>
    <row r="51" spans="1:9" customFormat="1" x14ac:dyDescent="0.2">
      <c r="A51" s="7"/>
      <c r="B51" s="7"/>
      <c r="C51" s="7"/>
    </row>
    <row r="52" spans="1:9" customFormat="1" x14ac:dyDescent="0.2">
      <c r="A52" s="18" t="s">
        <v>81</v>
      </c>
      <c r="B52" s="7"/>
      <c r="C52" s="5" t="s">
        <v>1</v>
      </c>
      <c r="D52" s="5" t="s">
        <v>2</v>
      </c>
      <c r="E52" s="5" t="s">
        <v>3</v>
      </c>
      <c r="F52" s="5" t="s">
        <v>4</v>
      </c>
      <c r="G52" s="5" t="s">
        <v>5</v>
      </c>
      <c r="H52" s="5" t="s">
        <v>6</v>
      </c>
      <c r="I52" s="5" t="s">
        <v>7</v>
      </c>
    </row>
    <row r="53" spans="1:9" customFormat="1" x14ac:dyDescent="0.2">
      <c r="B53" s="7" t="s">
        <v>82</v>
      </c>
      <c r="C53" s="28" t="s">
        <v>83</v>
      </c>
      <c r="D53" s="28" t="s">
        <v>83</v>
      </c>
      <c r="E53" s="2" t="s">
        <v>83</v>
      </c>
      <c r="F53" s="28" t="s">
        <v>83</v>
      </c>
      <c r="G53" s="28" t="s">
        <v>83</v>
      </c>
      <c r="H53" s="28" t="s">
        <v>83</v>
      </c>
    </row>
    <row r="54" spans="1:9" customFormat="1" x14ac:dyDescent="0.2">
      <c r="A54" s="7"/>
      <c r="B54" s="7" t="s">
        <v>84</v>
      </c>
      <c r="C54" s="28">
        <f>L9/4</f>
        <v>10200</v>
      </c>
      <c r="D54" s="28">
        <f>N9</f>
        <v>41741</v>
      </c>
      <c r="E54" s="2">
        <f>N9/2</f>
        <v>20870.5</v>
      </c>
      <c r="F54" s="2"/>
      <c r="G54" s="2"/>
      <c r="H54" s="2"/>
    </row>
    <row r="55" spans="1:9" customFormat="1" x14ac:dyDescent="0.2">
      <c r="A55" s="7"/>
      <c r="B55" s="7" t="s">
        <v>85</v>
      </c>
      <c r="C55" s="28">
        <f>L4</f>
        <v>1400</v>
      </c>
      <c r="D55" s="28"/>
      <c r="E55" s="2"/>
      <c r="F55" s="2"/>
      <c r="G55" s="2"/>
      <c r="H55" s="2"/>
    </row>
    <row r="56" spans="1:9" customFormat="1" x14ac:dyDescent="0.2">
      <c r="A56" s="7"/>
      <c r="B56" s="7" t="s">
        <v>86</v>
      </c>
      <c r="C56" s="28">
        <f>L10/4</f>
        <v>12040.75</v>
      </c>
      <c r="D56" s="28">
        <f>N10</f>
        <v>49307</v>
      </c>
      <c r="E56" s="2">
        <f>N10/2</f>
        <v>24653.5</v>
      </c>
      <c r="F56" s="2"/>
      <c r="G56" s="2"/>
      <c r="H56" s="2"/>
    </row>
    <row r="57" spans="1:9" customFormat="1" x14ac:dyDescent="0.2">
      <c r="A57" s="7"/>
      <c r="B57" s="7" t="s">
        <v>87</v>
      </c>
      <c r="C57" s="28">
        <f>L4</f>
        <v>1400</v>
      </c>
      <c r="D57" s="28"/>
      <c r="E57" s="2"/>
      <c r="F57" s="2"/>
      <c r="G57" s="2"/>
      <c r="H57" s="2"/>
    </row>
    <row r="58" spans="1:9" customFormat="1" x14ac:dyDescent="0.2">
      <c r="A58" s="7"/>
      <c r="B58" s="7" t="s">
        <v>88</v>
      </c>
      <c r="C58" s="7">
        <v>0</v>
      </c>
      <c r="D58" s="28">
        <f>N11*2</f>
        <v>91260</v>
      </c>
      <c r="E58" s="2">
        <f>N11</f>
        <v>45630</v>
      </c>
      <c r="F58" s="2"/>
      <c r="G58" s="2"/>
      <c r="H58" s="2"/>
    </row>
    <row r="59" spans="1:9" customFormat="1" x14ac:dyDescent="0.2">
      <c r="A59" s="7"/>
      <c r="B59" s="7" t="s">
        <v>89</v>
      </c>
      <c r="C59" s="28">
        <f>2*L4</f>
        <v>2800</v>
      </c>
      <c r="E59" s="2"/>
      <c r="F59" s="2"/>
      <c r="G59" s="2"/>
      <c r="H59" s="2"/>
    </row>
    <row r="60" spans="1:9" customFormat="1" x14ac:dyDescent="0.2">
      <c r="A60" s="7"/>
      <c r="B60" t="s">
        <v>90</v>
      </c>
      <c r="C60">
        <v>0</v>
      </c>
      <c r="D60" s="2">
        <f>N13</f>
        <v>37525</v>
      </c>
      <c r="E60" s="2">
        <f>N13</f>
        <v>37525</v>
      </c>
      <c r="F60" s="26">
        <f>N13</f>
        <v>37525</v>
      </c>
      <c r="G60" s="26">
        <f>N13</f>
        <v>37525</v>
      </c>
      <c r="H60" s="26">
        <f>N13</f>
        <v>37525</v>
      </c>
    </row>
    <row r="61" spans="1:9" customFormat="1" x14ac:dyDescent="0.2">
      <c r="A61" s="7"/>
      <c r="B61" t="s">
        <v>91</v>
      </c>
      <c r="C61" s="2">
        <f>L4</f>
        <v>1400</v>
      </c>
      <c r="E61" s="2"/>
      <c r="F61" s="26"/>
      <c r="G61" s="26"/>
      <c r="H61" s="26"/>
    </row>
    <row r="62" spans="1:9" customFormat="1" x14ac:dyDescent="0.2">
      <c r="A62" s="7"/>
      <c r="B62" t="s">
        <v>92</v>
      </c>
      <c r="D62" s="2">
        <v>100000</v>
      </c>
      <c r="E62" s="2"/>
      <c r="F62" s="26"/>
      <c r="G62" s="26"/>
      <c r="H62" s="26"/>
    </row>
    <row r="63" spans="1:9" customFormat="1" x14ac:dyDescent="0.2">
      <c r="A63" s="7"/>
      <c r="B63" t="s">
        <v>93</v>
      </c>
      <c r="D63" s="2">
        <v>70000</v>
      </c>
      <c r="E63" s="2">
        <v>30000</v>
      </c>
      <c r="F63" s="26"/>
      <c r="G63" s="26"/>
      <c r="H63" s="26"/>
    </row>
    <row r="64" spans="1:9" customFormat="1" x14ac:dyDescent="0.2">
      <c r="A64" s="7"/>
      <c r="B64" t="s">
        <v>94</v>
      </c>
      <c r="D64" s="2">
        <v>10000</v>
      </c>
      <c r="E64" s="2">
        <v>10000</v>
      </c>
      <c r="F64" s="26">
        <v>10000</v>
      </c>
      <c r="G64" s="26">
        <v>10000</v>
      </c>
      <c r="H64" s="26">
        <v>10000</v>
      </c>
    </row>
    <row r="65" spans="1:9" customFormat="1" x14ac:dyDescent="0.2">
      <c r="A65" s="7"/>
      <c r="B65" t="s">
        <v>95</v>
      </c>
      <c r="D65" s="2">
        <v>50000</v>
      </c>
      <c r="E65" s="2"/>
      <c r="F65" s="26"/>
      <c r="G65" s="26"/>
      <c r="H65" s="26"/>
    </row>
    <row r="66" spans="1:9" customFormat="1" x14ac:dyDescent="0.2">
      <c r="A66" s="7"/>
      <c r="B66" t="s">
        <v>52</v>
      </c>
      <c r="C66" s="2">
        <f>3*L21</f>
        <v>390</v>
      </c>
      <c r="D66" s="2">
        <f>3*L21</f>
        <v>390</v>
      </c>
      <c r="E66" s="2">
        <f>3*L21</f>
        <v>390</v>
      </c>
      <c r="F66" s="26"/>
      <c r="G66" s="26"/>
      <c r="H66" s="26"/>
    </row>
    <row r="67" spans="1:9" customFormat="1" x14ac:dyDescent="0.2">
      <c r="A67" s="7"/>
      <c r="B67" t="s">
        <v>96</v>
      </c>
      <c r="C67" s="2">
        <f>5*L20/6</f>
        <v>100</v>
      </c>
      <c r="D67" s="2">
        <f>5*L20</f>
        <v>600</v>
      </c>
      <c r="E67" s="2">
        <f>5*L20/2</f>
        <v>300</v>
      </c>
      <c r="F67" s="26"/>
      <c r="G67" s="26"/>
      <c r="H67" s="26"/>
    </row>
    <row r="68" spans="1:9" customFormat="1" x14ac:dyDescent="0.2">
      <c r="A68" s="21"/>
      <c r="B68" s="9" t="s">
        <v>17</v>
      </c>
      <c r="C68" s="10">
        <f>SUM(C54:C67)</f>
        <v>29730.75</v>
      </c>
      <c r="D68" s="10">
        <f t="shared" ref="D68:H68" si="3">SUM(D54:D67)</f>
        <v>450823</v>
      </c>
      <c r="E68" s="10">
        <f t="shared" si="3"/>
        <v>169369</v>
      </c>
      <c r="F68" s="10">
        <f t="shared" si="3"/>
        <v>47525</v>
      </c>
      <c r="G68" s="10">
        <f t="shared" si="3"/>
        <v>47525</v>
      </c>
      <c r="H68" s="10">
        <f t="shared" si="3"/>
        <v>47525</v>
      </c>
      <c r="I68" s="10">
        <f>SUM(C68:H68)</f>
        <v>792497.75</v>
      </c>
    </row>
    <row r="69" spans="1:9" customFormat="1" ht="19.5" customHeight="1" x14ac:dyDescent="0.2">
      <c r="B69" s="3"/>
      <c r="C69" s="3"/>
      <c r="D69" s="2"/>
      <c r="E69" s="2"/>
      <c r="F69" s="2"/>
      <c r="G69" s="2"/>
      <c r="H69" s="2"/>
    </row>
    <row r="70" spans="1:9" customFormat="1" x14ac:dyDescent="0.2">
      <c r="D70" s="2"/>
      <c r="E70" s="2"/>
      <c r="F70" s="2"/>
      <c r="G70" s="2"/>
      <c r="H70" s="2"/>
    </row>
    <row r="71" spans="1:9" customFormat="1" ht="13.5" thickBot="1" x14ac:dyDescent="0.25">
      <c r="A71" s="29"/>
      <c r="B71" s="30" t="s">
        <v>97</v>
      </c>
      <c r="C71" s="31">
        <f t="shared" ref="C71:I71" si="4">C7+C29+C41+C49+C68</f>
        <v>67784.416666666657</v>
      </c>
      <c r="D71" s="31">
        <f t="shared" si="4"/>
        <v>1474198.7999999998</v>
      </c>
      <c r="E71" s="31">
        <f t="shared" si="4"/>
        <v>652404.89999999991</v>
      </c>
      <c r="F71" s="31">
        <f t="shared" si="4"/>
        <v>47525</v>
      </c>
      <c r="G71" s="31">
        <f t="shared" si="4"/>
        <v>47525</v>
      </c>
      <c r="H71" s="31">
        <f t="shared" si="4"/>
        <v>47525</v>
      </c>
      <c r="I71" s="31">
        <f t="shared" si="4"/>
        <v>2336963.1166666667</v>
      </c>
    </row>
    <row r="72" spans="1:9" customFormat="1" x14ac:dyDescent="0.2">
      <c r="D72" s="2"/>
      <c r="E72" s="2"/>
      <c r="F72" s="2"/>
      <c r="G72" s="2"/>
      <c r="H72" s="2"/>
    </row>
    <row r="73" spans="1:9" customFormat="1" ht="25.5" customHeight="1" x14ac:dyDescent="0.2">
      <c r="A73" s="34" t="s">
        <v>98</v>
      </c>
      <c r="B73" s="34"/>
      <c r="C73" s="34"/>
      <c r="D73" s="34"/>
      <c r="E73" s="34"/>
      <c r="F73" s="34"/>
      <c r="G73" s="34"/>
      <c r="H73" s="34"/>
      <c r="I73" s="34"/>
    </row>
    <row r="74" spans="1:9" customFormat="1" x14ac:dyDescent="0.2">
      <c r="D74" s="2"/>
      <c r="E74" s="2"/>
      <c r="F74" s="2"/>
      <c r="G74" s="2"/>
      <c r="H74" s="2"/>
    </row>
    <row r="75" spans="1:9" customFormat="1" x14ac:dyDescent="0.2">
      <c r="B75" s="4" t="s">
        <v>99</v>
      </c>
    </row>
    <row r="76" spans="1:9" customFormat="1" x14ac:dyDescent="0.2">
      <c r="B76" s="7" t="s">
        <v>100</v>
      </c>
      <c r="C76" s="35"/>
      <c r="D76" s="35">
        <f>'[1]Budget - Contractor 1'!D4</f>
        <v>52000</v>
      </c>
      <c r="E76" s="35">
        <f>'[1]Budget - Contractor 1'!E4</f>
        <v>52000</v>
      </c>
      <c r="F76" s="35"/>
      <c r="G76" s="35"/>
      <c r="H76" s="35"/>
      <c r="I76" s="35"/>
    </row>
    <row r="77" spans="1:9" customFormat="1" x14ac:dyDescent="0.2">
      <c r="B77" s="7" t="s">
        <v>101</v>
      </c>
      <c r="C77" s="35">
        <f>'[1]Budget - Contractor 1'!C56</f>
        <v>18200</v>
      </c>
      <c r="D77" s="35">
        <f>'[1]Budget - Contractor 1'!D56</f>
        <v>72800</v>
      </c>
      <c r="E77" s="35">
        <f>'[1]Budget - Contractor 1'!E56</f>
        <v>36400</v>
      </c>
      <c r="F77" s="35"/>
      <c r="G77" s="35"/>
      <c r="H77" s="35"/>
      <c r="I77" s="35"/>
    </row>
    <row r="78" spans="1:9" customFormat="1" x14ac:dyDescent="0.2">
      <c r="B78" s="32" t="s">
        <v>102</v>
      </c>
      <c r="C78" s="35"/>
      <c r="D78" s="35"/>
      <c r="E78" s="35"/>
      <c r="F78" s="35"/>
      <c r="G78" s="35"/>
      <c r="H78" s="35"/>
      <c r="I78" s="35"/>
    </row>
    <row r="79" spans="1:9" customFormat="1" x14ac:dyDescent="0.2">
      <c r="B79" s="7" t="s">
        <v>103</v>
      </c>
      <c r="C79" s="35"/>
      <c r="D79" s="35">
        <f>-D4</f>
        <v>-45630</v>
      </c>
      <c r="E79" s="35">
        <f>-E4</f>
        <v>-45630</v>
      </c>
      <c r="F79" s="35"/>
      <c r="G79" s="35"/>
      <c r="H79" s="35"/>
      <c r="I79" s="35"/>
    </row>
    <row r="80" spans="1:9" customFormat="1" x14ac:dyDescent="0.2">
      <c r="B80" s="7" t="s">
        <v>104</v>
      </c>
      <c r="C80" s="35">
        <f>-C56</f>
        <v>-12040.75</v>
      </c>
      <c r="D80" s="35">
        <f>-D56</f>
        <v>-49307</v>
      </c>
      <c r="E80" s="35">
        <f>-E56</f>
        <v>-24653.5</v>
      </c>
      <c r="F80" s="35"/>
      <c r="G80" s="35"/>
      <c r="H80" s="35"/>
      <c r="I80" s="35"/>
    </row>
    <row r="81" spans="2:9" customFormat="1" x14ac:dyDescent="0.2">
      <c r="B81" s="33" t="s">
        <v>105</v>
      </c>
      <c r="C81" s="35">
        <f>SUM(C76:C80)</f>
        <v>6159.25</v>
      </c>
      <c r="D81" s="35">
        <f t="shared" ref="D81:E81" si="5">SUM(D76:D80)</f>
        <v>29863</v>
      </c>
      <c r="E81" s="35">
        <f t="shared" si="5"/>
        <v>18116.5</v>
      </c>
      <c r="F81" s="35"/>
      <c r="G81" s="35"/>
      <c r="H81" s="35"/>
      <c r="I81" s="35">
        <f>SUM(C81:H81)</f>
        <v>54138.75</v>
      </c>
    </row>
    <row r="83" spans="2:9" customFormat="1" ht="13.5" thickBot="1" x14ac:dyDescent="0.25">
      <c r="B83" s="33" t="s">
        <v>106</v>
      </c>
      <c r="I83" s="31">
        <f>SUM(I71:I81)</f>
        <v>2391101.8666666667</v>
      </c>
    </row>
    <row r="86" spans="2:9" customFormat="1" x14ac:dyDescent="0.2">
      <c r="D86" s="2"/>
    </row>
    <row r="87" spans="2:9" customFormat="1" x14ac:dyDescent="0.2">
      <c r="D87" s="2"/>
    </row>
    <row r="88" spans="2:9" customFormat="1" x14ac:dyDescent="0.2">
      <c r="D88" s="2"/>
      <c r="E88" s="2"/>
      <c r="F88" s="2"/>
      <c r="G88" s="2"/>
      <c r="H88" s="2"/>
    </row>
    <row r="89" spans="2:9" customFormat="1" x14ac:dyDescent="0.2">
      <c r="D89" s="2"/>
      <c r="E89" s="2"/>
      <c r="F89" s="2"/>
      <c r="G89" s="2"/>
      <c r="H89" s="2"/>
    </row>
    <row r="90" spans="2:9" customFormat="1" x14ac:dyDescent="0.2">
      <c r="D90" s="2"/>
      <c r="E90" s="2"/>
      <c r="F90" s="2"/>
      <c r="G90" s="2"/>
      <c r="H90" s="2"/>
    </row>
    <row r="91" spans="2:9" customFormat="1" x14ac:dyDescent="0.2">
      <c r="D91" s="2"/>
      <c r="E91" s="2"/>
      <c r="F91" s="2"/>
      <c r="G91" s="2"/>
      <c r="H91" s="2"/>
    </row>
    <row r="92" spans="2:9" customFormat="1" x14ac:dyDescent="0.2">
      <c r="D92" s="2"/>
      <c r="E92" s="2"/>
      <c r="F92" s="2"/>
      <c r="G92" s="2"/>
      <c r="H92" s="2"/>
    </row>
    <row r="93" spans="2:9" customFormat="1" x14ac:dyDescent="0.2">
      <c r="D93" s="2"/>
      <c r="E93" s="2"/>
      <c r="F93" s="2"/>
      <c r="G93" s="2"/>
      <c r="H93" s="2"/>
    </row>
    <row r="94" spans="2:9" customFormat="1" x14ac:dyDescent="0.2">
      <c r="D94" s="2"/>
      <c r="E94" s="2"/>
      <c r="F94" s="2"/>
      <c r="G94" s="2"/>
      <c r="H94" s="2"/>
    </row>
    <row r="95" spans="2:9" customFormat="1" x14ac:dyDescent="0.2">
      <c r="D95" s="2"/>
      <c r="E95" s="2"/>
      <c r="F95" s="2"/>
      <c r="G95" s="2"/>
      <c r="H95" s="2"/>
    </row>
    <row r="96" spans="2:9" customFormat="1" x14ac:dyDescent="0.2">
      <c r="D96" s="2"/>
      <c r="E96" s="2"/>
      <c r="F96" s="2"/>
      <c r="G96" s="2"/>
      <c r="H96" s="2"/>
    </row>
    <row r="97" spans="4:8" customFormat="1" x14ac:dyDescent="0.2">
      <c r="D97" s="2"/>
      <c r="E97" s="2"/>
      <c r="F97" s="2"/>
      <c r="G97" s="2"/>
      <c r="H97" s="2"/>
    </row>
  </sheetData>
  <mergeCells count="1">
    <mergeCell ref="A73:I73"/>
  </mergeCells>
  <pageMargins left="0.39370078740157483" right="0.39370078740157483" top="0.74803149606299213" bottom="0.74803149606299213" header="0.31496062992125984" footer="0.31496062992125984"/>
  <pageSetup paperSize="9" scale="80" orientation="landscape" r:id="rId1"/>
  <headerFooter>
    <oddHeader xml:space="preserve">&amp;C&amp;"arial unicode ms,Regular"&amp;11NOT PROTECTIVELY MARKED      
</oddHeader>
    <oddFooter xml:space="preserve">&amp;C&amp;"arial unicode ms,Regular"&amp;11NOT PROTECTIVELY MARKED      
</oddFooter>
    <evenHeader xml:space="preserve">&amp;C&amp;"arial unicode ms,Regular"&amp;11NOT PROTECTIVELY MARKED      
</evenHeader>
    <evenFooter xml:space="preserve">&amp;C&amp;"arial unicode ms,Regular"&amp;11NOT PROTECTIVELY MARKED      
</evenFooter>
    <firstHeader xml:space="preserve">&amp;C&amp;"arial unicode ms,Regular"&amp;11NOT PROTECTIVELY MARKED      
</firstHeader>
    <firstFooter xml:space="preserve">&amp;C&amp;"arial unicode ms,Regular"&amp;11NOT PROTECTIVELY MARKED      
</first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Wintringham, Sarah</dc:creator>
  <cp:lastModifiedBy>Palmer, Jane</cp:lastModifiedBy>
  <cp:lastPrinted>2015-11-19T18:08:37Z</cp:lastPrinted>
  <dcterms:created xsi:type="dcterms:W3CDTF">2015-11-19T18:05:10Z</dcterms:created>
  <dcterms:modified xsi:type="dcterms:W3CDTF">2015-12-14T09:01:55Z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9e3a50b4-a157-42bb-8990-18a8f170b414</vt:lpwstr>
  </property>
  <property fmtid="{D5CDD505-2E9C-101B-9397-08002B2CF9AE}" pid="3" name="NORTH YORKSHIRE POLICEClassification">
    <vt:lpwstr>NOT PROTECTIVELY MARKED</vt:lpwstr>
  </property>
  <property fmtid="{D5CDD505-2E9C-101B-9397-08002B2CF9AE}" pid="4" name="NORTH YORKSHIRE POLICEVisual Markings">
    <vt:lpwstr>Yes</vt:lpwstr>
  </property>
</Properties>
</file>